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02 21 417р Конкурс ТСЖ + Водсервис + Партнер\Лот 2 ТСЖ Ломоносовский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</definedNames>
  <calcPr calcId="152511"/>
</workbook>
</file>

<file path=xl/calcChain.xml><?xml version="1.0" encoding="utf-8"?>
<calcChain xmlns="http://schemas.openxmlformats.org/spreadsheetml/2006/main">
  <c r="S39" i="3" l="1"/>
  <c r="R37" i="3"/>
  <c r="Q37" i="3"/>
  <c r="M37" i="3"/>
  <c r="L37" i="3"/>
  <c r="K37" i="3"/>
  <c r="G37" i="3"/>
  <c r="F37" i="3"/>
  <c r="E37" i="3"/>
  <c r="D37" i="3"/>
  <c r="T39" i="3" l="1"/>
  <c r="R36" i="3" l="1"/>
  <c r="Q36" i="3"/>
  <c r="M36" i="3"/>
  <c r="F36" i="3" l="1"/>
  <c r="G36" i="3"/>
  <c r="R11" i="3" l="1"/>
  <c r="R10" i="3" s="1"/>
  <c r="R9" i="3" s="1"/>
  <c r="R15" i="3"/>
  <c r="R16" i="3"/>
  <c r="R17" i="3"/>
  <c r="R18" i="3"/>
  <c r="R19" i="3"/>
  <c r="R20" i="3"/>
  <c r="R25" i="3"/>
  <c r="R26" i="3"/>
  <c r="R27" i="3"/>
  <c r="R29" i="3"/>
  <c r="R30" i="3"/>
  <c r="R31" i="3"/>
  <c r="R32" i="3"/>
  <c r="R33" i="3"/>
  <c r="R35" i="3"/>
  <c r="Q35" i="3"/>
  <c r="Q33" i="3"/>
  <c r="Q32" i="3"/>
  <c r="Q31" i="3"/>
  <c r="Q30" i="3"/>
  <c r="Q29" i="3"/>
  <c r="Q27" i="3"/>
  <c r="Q26" i="3"/>
  <c r="Q25" i="3"/>
  <c r="Q20" i="3"/>
  <c r="Q19" i="3"/>
  <c r="Q18" i="3"/>
  <c r="Q17" i="3"/>
  <c r="Q16" i="3"/>
  <c r="Q15" i="3"/>
  <c r="Q11" i="3"/>
  <c r="Q10" i="3" s="1"/>
  <c r="Q9" i="3" s="1"/>
  <c r="P28" i="3"/>
  <c r="P24" i="3"/>
  <c r="P14" i="3"/>
  <c r="P9" i="3"/>
  <c r="K36" i="3"/>
  <c r="R24" i="3" l="1"/>
  <c r="R28" i="3"/>
  <c r="R14" i="3"/>
  <c r="Q28" i="3"/>
  <c r="Q24" i="3"/>
  <c r="Q14" i="3"/>
  <c r="L11" i="3"/>
  <c r="L10" i="3" s="1"/>
  <c r="M11" i="3"/>
  <c r="M10" i="3" s="1"/>
  <c r="L15" i="3"/>
  <c r="M15" i="3"/>
  <c r="L16" i="3"/>
  <c r="M16" i="3"/>
  <c r="L17" i="3"/>
  <c r="M17" i="3"/>
  <c r="L18" i="3"/>
  <c r="M18" i="3"/>
  <c r="L19" i="3"/>
  <c r="M19" i="3"/>
  <c r="L20" i="3"/>
  <c r="M20" i="3"/>
  <c r="L25" i="3"/>
  <c r="M25" i="3"/>
  <c r="L26" i="3"/>
  <c r="M26" i="3"/>
  <c r="L27" i="3"/>
  <c r="M27" i="3"/>
  <c r="L30" i="3"/>
  <c r="M30" i="3"/>
  <c r="L31" i="3"/>
  <c r="M31" i="3"/>
  <c r="L32" i="3"/>
  <c r="M32" i="3"/>
  <c r="L33" i="3"/>
  <c r="M33" i="3"/>
  <c r="L35" i="3"/>
  <c r="M35" i="3"/>
  <c r="K35" i="3"/>
  <c r="K33" i="3"/>
  <c r="K32" i="3"/>
  <c r="K31" i="3"/>
  <c r="K30" i="3"/>
  <c r="K27" i="3"/>
  <c r="K26" i="3"/>
  <c r="K25" i="3"/>
  <c r="K20" i="3"/>
  <c r="K19" i="3"/>
  <c r="K18" i="3"/>
  <c r="K17" i="3"/>
  <c r="K16" i="3"/>
  <c r="K15" i="3"/>
  <c r="J29" i="3"/>
  <c r="J24" i="3"/>
  <c r="J14" i="3"/>
  <c r="J9" i="3"/>
  <c r="J28" i="3" l="1"/>
  <c r="K14" i="3"/>
  <c r="R38" i="3"/>
  <c r="M29" i="3"/>
  <c r="M28" i="3" s="1"/>
  <c r="Q38" i="3"/>
  <c r="K29" i="3"/>
  <c r="K28" i="3" s="1"/>
  <c r="M14" i="3"/>
  <c r="L24" i="3"/>
  <c r="L14" i="3"/>
  <c r="K24" i="3"/>
  <c r="M24" i="3"/>
  <c r="L29" i="3"/>
  <c r="L28" i="3" s="1"/>
  <c r="L9" i="3"/>
  <c r="M9" i="3"/>
  <c r="Q40" i="3" l="1"/>
  <c r="M38" i="3"/>
  <c r="L38" i="3"/>
  <c r="K11" i="3"/>
  <c r="G10" i="3"/>
  <c r="D35" i="3" l="1"/>
  <c r="E10" i="3" l="1"/>
  <c r="F10" i="3"/>
  <c r="E11" i="3"/>
  <c r="F11" i="3"/>
  <c r="G11" i="3"/>
  <c r="G9" i="3" s="1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5" i="3"/>
  <c r="F25" i="3"/>
  <c r="G25" i="3"/>
  <c r="E26" i="3"/>
  <c r="F26" i="3"/>
  <c r="G26" i="3"/>
  <c r="E27" i="3"/>
  <c r="F27" i="3"/>
  <c r="G27" i="3"/>
  <c r="E29" i="3"/>
  <c r="F29" i="3"/>
  <c r="G29" i="3"/>
  <c r="E30" i="3"/>
  <c r="F30" i="3"/>
  <c r="G30" i="3"/>
  <c r="E31" i="3"/>
  <c r="F31" i="3"/>
  <c r="G31" i="3"/>
  <c r="E32" i="3"/>
  <c r="F32" i="3"/>
  <c r="G32" i="3"/>
  <c r="E33" i="3"/>
  <c r="F33" i="3"/>
  <c r="G33" i="3"/>
  <c r="E35" i="3"/>
  <c r="F35" i="3"/>
  <c r="G35" i="3"/>
  <c r="D33" i="3"/>
  <c r="D32" i="3"/>
  <c r="D31" i="3"/>
  <c r="D30" i="3"/>
  <c r="D29" i="3"/>
  <c r="D27" i="3"/>
  <c r="D26" i="3"/>
  <c r="D25" i="3"/>
  <c r="D20" i="3"/>
  <c r="D19" i="3"/>
  <c r="D18" i="3"/>
  <c r="D11" i="3"/>
  <c r="D17" i="3"/>
  <c r="D16" i="3"/>
  <c r="D15" i="3"/>
  <c r="D10" i="3"/>
  <c r="C28" i="3"/>
  <c r="C24" i="3"/>
  <c r="C14" i="3"/>
  <c r="D24" i="3" l="1"/>
  <c r="F24" i="3"/>
  <c r="D28" i="3"/>
  <c r="F28" i="3"/>
  <c r="E14" i="3"/>
  <c r="E24" i="3"/>
  <c r="E9" i="3"/>
  <c r="G28" i="3"/>
  <c r="G14" i="3"/>
  <c r="F9" i="3"/>
  <c r="E28" i="3"/>
  <c r="G24" i="3"/>
  <c r="F14" i="3"/>
  <c r="F38" i="3" l="1"/>
  <c r="E38" i="3"/>
  <c r="G38" i="3"/>
  <c r="R40" i="3" l="1"/>
  <c r="G40" i="3"/>
  <c r="D14" i="3" l="1"/>
  <c r="L40" i="3" l="1"/>
  <c r="E40" i="3" l="1"/>
  <c r="F40" i="3"/>
  <c r="D9" i="3" l="1"/>
  <c r="D38" i="3" s="1"/>
  <c r="D40" i="3" l="1"/>
  <c r="K10" i="3"/>
  <c r="K38" i="3" s="1"/>
  <c r="S38" i="3" s="1"/>
  <c r="T38" i="3" s="1"/>
  <c r="K9" i="3" l="1"/>
  <c r="M40" i="3" l="1"/>
  <c r="K40" i="3"/>
</calcChain>
</file>

<file path=xl/sharedStrings.xml><?xml version="1.0" encoding="utf-8"?>
<sst xmlns="http://schemas.openxmlformats.org/spreadsheetml/2006/main" count="181" uniqueCount="87">
  <si>
    <t>месяцы</t>
  </si>
  <si>
    <t>Площадь жилых помещений</t>
  </si>
  <si>
    <t>Общая годовая стоимость работ по многоквартирным домам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</si>
  <si>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</si>
  <si>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</si>
  <si>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</si>
  <si>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</si>
  <si>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</si>
  <si>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</si>
  <si>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</si>
  <si>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</si>
  <si>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</si>
  <si>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</si>
  <si>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</si>
  <si>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</si>
  <si>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</si>
  <si>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</si>
  <si>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</si>
  <si>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</si>
  <si>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</si>
  <si>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</si>
  <si>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</si>
  <si>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</si>
  <si>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</si>
  <si>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</si>
  <si>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6</t>
  </si>
  <si>
    <t>25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</si>
  <si>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</si>
  <si>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</si>
  <si>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</si>
  <si>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</si>
  <si>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</si>
  <si>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</si>
  <si>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</si>
  <si>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 xml:space="preserve">9. Сезонный осмотр конструкций здания( фасадов, стен, фундаментов, кровли, преркрытий)
</t>
  </si>
  <si>
    <t xml:space="preserve">10.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</si>
  <si>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11.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обслуживание и ремонт бойлерных, удаление воздуха из системы отопления, смена отдельных участков трубопроводов по необходимости.
</t>
  </si>
  <si>
    <t>12.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</t>
  </si>
  <si>
    <t>13. Аварийное обслуживание</t>
  </si>
  <si>
    <t>14. Ремонт кровли, крылец, козырьков, деревянных тротуаров</t>
  </si>
  <si>
    <t>15. Дератизация</t>
  </si>
  <si>
    <t>16. Дезинсекция</t>
  </si>
  <si>
    <t>17. Проведение технической инвентаризации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</si>
  <si>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</si>
  <si>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</si>
  <si>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</si>
  <si>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</si>
  <si>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 xml:space="preserve">4 раз(а) в неделю контейнера </t>
  </si>
  <si>
    <t>1 раз в год</t>
  </si>
  <si>
    <t>постоянно</t>
  </si>
  <si>
    <t xml:space="preserve">Стоимость на 1 кв. м. общей площади (руб./мес.)                               (размер платы в месяц на 1 кв. м.)  </t>
  </si>
  <si>
    <t xml:space="preserve"> деревянный благоустроенный дом с ХВС, ГВС, канализацией, центральным отоплением</t>
  </si>
  <si>
    <t xml:space="preserve">Перечень обязательных работ, услуг </t>
  </si>
  <si>
    <t xml:space="preserve"> раз(а) в неделю</t>
  </si>
  <si>
    <t>раз(а) в неделю</t>
  </si>
  <si>
    <t xml:space="preserve">3. Уборка мусора с придомовой территории </t>
  </si>
  <si>
    <t>4. Уборка мусора на контейнерных площадках (помойных ямах)</t>
  </si>
  <si>
    <t>2 раз(а) в год</t>
  </si>
  <si>
    <t>4 раз(а) в неделю контейнера</t>
  </si>
  <si>
    <t>11. Проверка исправности, работоспособности, регулировка и техническое обслуживание, запорной арматуры,  промывка систем водоснабжения для удаления накипно-коррозионных отложений,  обслуживание и ремонт бойлерных, смена отдельных участков трубопроводов по необходимости.
Заделка щелей в печах, оштукатуривание, прочистка дымохода.</t>
  </si>
  <si>
    <t>12.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проверка работоспособности и обслуживание устройства водоподготовки для системы горячего водоснабжения.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</si>
  <si>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Прочиска канализационных лежаков 2 раза в год. </t>
  </si>
  <si>
    <t>постоянно
на системах водоснабжения, газоснабжения, канализации, энергоснабжения</t>
  </si>
  <si>
    <t>VI. ВДГО</t>
  </si>
  <si>
    <t xml:space="preserve">Стоимость на 1 кв. м. общей площади (руб./мес.)         (размер платы в месяц на 1 кв. м.)  </t>
  </si>
  <si>
    <t>МВК      деревянный благоустроенный дом с ХВС, ГВС, канализацией, центральным отоплением</t>
  </si>
  <si>
    <t xml:space="preserve"> деревянный благоустроенный с ХВС, ГВС, канализация, печное отопление (без центр отопления)</t>
  </si>
  <si>
    <t>VII. Расходы на ОДН</t>
  </si>
  <si>
    <t>Проведение технической инвентаризации, 7500 руб.                    В тарифе распределяется на площадь жилых помещений в МКД</t>
  </si>
  <si>
    <t>Проведение технической инвентаризации,          2500 руб.                    В тарифе распределяется на площадь жилых помещений в МКД</t>
  </si>
  <si>
    <t>Приложение № 2</t>
  </si>
  <si>
    <t xml:space="preserve"> извещению и документации </t>
  </si>
  <si>
    <t>о проведении открытого конкурса</t>
  </si>
  <si>
    <t>56</t>
  </si>
  <si>
    <t>Серафимовича ул.</t>
  </si>
  <si>
    <t>Выучейского ул.</t>
  </si>
  <si>
    <t>Г.Суфтинаул.</t>
  </si>
  <si>
    <t>Г.Суфтина. ул.</t>
  </si>
  <si>
    <t>64</t>
  </si>
  <si>
    <t>63 к.1</t>
  </si>
  <si>
    <t>9</t>
  </si>
  <si>
    <t>Лот № 2 Ломоносовский территориальный округ</t>
  </si>
  <si>
    <t>Котласскаяул.</t>
  </si>
  <si>
    <t>Урицкогоул.</t>
  </si>
  <si>
    <t>12</t>
  </si>
  <si>
    <t>46</t>
  </si>
  <si>
    <t>Г.Суфтина 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</si>
</sst>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b/>
      <sz val="9"/>
      <color theme="0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0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top"/>
    </xf>
    <xf numFmtId="4" fontId="10" fillId="2" borderId="3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6" fillId="0" borderId="0" xfId="0" applyFont="1" applyAlignment="1">
      <alignment horizontal="right"/>
    </xf>
    <xf numFmtId="4" fontId="8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4" fontId="14" fillId="2" borderId="1" xfId="0" applyNumberFormat="1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left" wrapText="1"/>
    </xf>
    <xf numFmtId="4" fontId="8" fillId="2" borderId="8" xfId="0" applyNumberFormat="1" applyFont="1" applyFill="1" applyBorder="1" applyAlignment="1">
      <alignment vertical="center"/>
    </xf>
    <xf numFmtId="49" fontId="13" fillId="2" borderId="12" xfId="2" applyNumberFormat="1" applyFont="1" applyFill="1" applyBorder="1" applyAlignment="1">
      <alignment horizontal="left" wrapText="1"/>
    </xf>
    <xf numFmtId="4" fontId="8" fillId="2" borderId="0" xfId="0" applyNumberFormat="1" applyFont="1" applyFill="1" applyBorder="1" applyAlignment="1">
      <alignment horizontal="center" vertical="center"/>
    </xf>
    <xf numFmtId="49" fontId="13" fillId="2" borderId="9" xfId="2" applyNumberFormat="1" applyFont="1" applyFill="1" applyBorder="1" applyAlignment="1">
      <alignment horizontal="left" wrapText="1"/>
    </xf>
    <xf numFmtId="49" fontId="13" fillId="2" borderId="13" xfId="2" applyNumberFormat="1" applyFont="1" applyFill="1" applyBorder="1" applyAlignment="1">
      <alignment horizontal="left" wrapText="1"/>
    </xf>
    <xf numFmtId="49" fontId="13" fillId="2" borderId="9" xfId="0" applyNumberFormat="1" applyFont="1" applyFill="1" applyBorder="1" applyAlignment="1">
      <alignment horizontal="left" wrapText="1"/>
    </xf>
    <xf numFmtId="49" fontId="13" fillId="2" borderId="14" xfId="0" applyNumberFormat="1" applyFont="1" applyFill="1" applyBorder="1" applyAlignment="1">
      <alignment horizontal="left" wrapText="1"/>
    </xf>
    <xf numFmtId="4" fontId="15" fillId="0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164" fontId="13" fillId="2" borderId="9" xfId="2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vertical="center"/>
    </xf>
    <xf numFmtId="4" fontId="18" fillId="2" borderId="1" xfId="0" applyNumberFormat="1" applyFont="1" applyFill="1" applyBorder="1" applyAlignment="1">
      <alignment horizontal="center"/>
    </xf>
    <xf numFmtId="0" fontId="19" fillId="0" borderId="0" xfId="0" applyFont="1" applyAlignment="1"/>
    <xf numFmtId="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9" fontId="13" fillId="2" borderId="14" xfId="2" applyNumberFormat="1" applyFont="1" applyFill="1" applyBorder="1" applyAlignment="1">
      <alignment horizontal="left" wrapText="1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 wrapText="1"/>
    </xf>
    <xf numFmtId="4" fontId="8" fillId="3" borderId="7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left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49" fontId="13" fillId="2" borderId="19" xfId="2" applyNumberFormat="1" applyFont="1" applyFill="1" applyBorder="1" applyAlignment="1">
      <alignment horizontal="left" vertical="center" wrapText="1"/>
    </xf>
    <xf numFmtId="4" fontId="15" fillId="2" borderId="4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4" fontId="15" fillId="0" borderId="0" xfId="0" applyNumberFormat="1" applyFont="1" applyAlignment="1">
      <alignment horizontal="center"/>
    </xf>
    <xf numFmtId="4" fontId="8" fillId="3" borderId="4" xfId="0" applyNumberFormat="1" applyFont="1" applyFill="1" applyBorder="1" applyAlignment="1">
      <alignment vertical="center" wrapText="1"/>
    </xf>
    <xf numFmtId="4" fontId="15" fillId="3" borderId="20" xfId="0" applyNumberFormat="1" applyFont="1" applyFill="1" applyBorder="1" applyAlignment="1">
      <alignment vertical="center" wrapText="1"/>
    </xf>
    <xf numFmtId="4" fontId="8" fillId="3" borderId="2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/>
    <xf numFmtId="4" fontId="8" fillId="3" borderId="2" xfId="0" applyNumberFormat="1" applyFont="1" applyFill="1" applyBorder="1" applyAlignment="1">
      <alignment horizontal="center" vertical="top" wrapText="1"/>
    </xf>
    <xf numFmtId="4" fontId="4" fillId="3" borderId="2" xfId="0" applyNumberFormat="1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wrapText="1"/>
    </xf>
    <xf numFmtId="4" fontId="15" fillId="3" borderId="1" xfId="0" applyNumberFormat="1" applyFont="1" applyFill="1" applyBorder="1" applyAlignment="1">
      <alignment horizontal="left" vertical="top"/>
    </xf>
    <xf numFmtId="4" fontId="8" fillId="3" borderId="2" xfId="0" applyNumberFormat="1" applyFont="1" applyFill="1" applyBorder="1" applyAlignment="1">
      <alignment horizontal="left" vertical="top"/>
    </xf>
    <xf numFmtId="0" fontId="2" fillId="3" borderId="0" xfId="0" applyFont="1" applyFill="1" applyAlignment="1">
      <alignment horizontal="center"/>
    </xf>
    <xf numFmtId="4" fontId="17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 wrapText="1"/>
    </xf>
    <xf numFmtId="4" fontId="13" fillId="2" borderId="9" xfId="2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/>
    </xf>
    <xf numFmtId="2" fontId="15" fillId="0" borderId="0" xfId="0" applyNumberFormat="1" applyFont="1" applyAlignment="1">
      <alignment horizontal="center"/>
    </xf>
    <xf numFmtId="4" fontId="13" fillId="2" borderId="6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Fill="1" applyAlignment="1">
      <alignment horizontal="center"/>
    </xf>
    <xf numFmtId="4" fontId="19" fillId="0" borderId="0" xfId="0" applyNumberFormat="1" applyFont="1" applyAlignment="1"/>
    <xf numFmtId="4" fontId="2" fillId="0" borderId="0" xfId="0" applyNumberFormat="1" applyFont="1" applyAlignment="1">
      <alignment vertical="center"/>
    </xf>
    <xf numFmtId="4" fontId="0" fillId="0" borderId="0" xfId="0" applyNumberFormat="1"/>
    <xf numFmtId="4" fontId="15" fillId="3" borderId="19" xfId="0" applyNumberFormat="1" applyFont="1" applyFill="1" applyBorder="1" applyAlignment="1">
      <alignment horizontal="center" vertical="center" wrapText="1"/>
    </xf>
    <xf numFmtId="4" fontId="8" fillId="3" borderId="19" xfId="0" applyNumberFormat="1" applyFont="1" applyFill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 wrapText="1"/>
    </xf>
    <xf numFmtId="4" fontId="15" fillId="3" borderId="15" xfId="0" applyNumberFormat="1" applyFont="1" applyFill="1" applyBorder="1" applyAlignment="1">
      <alignment horizontal="center" vertical="center" wrapText="1"/>
    </xf>
    <xf numFmtId="4" fontId="15" fillId="3" borderId="16" xfId="0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 wrapText="1"/>
    </xf>
    <xf numFmtId="4" fontId="15" fillId="3" borderId="18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Alignment="1">
      <alignment horizontal="center"/>
    </xf>
    <xf numFmtId="4" fontId="21" fillId="0" borderId="0" xfId="0" applyNumberFormat="1" applyFont="1" applyBorder="1" applyAlignment="1"/>
    <xf numFmtId="4" fontId="21" fillId="0" borderId="0" xfId="0" applyNumberFormat="1" applyFont="1" applyBorder="1" applyAlignment="1">
      <alignment horizontal="center"/>
    </xf>
    <xf numFmtId="4" fontId="21" fillId="0" borderId="0" xfId="0" applyNumberFormat="1" applyFont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view="pageBreakPreview" topLeftCell="A34" zoomScale="86" zoomScaleNormal="100" zoomScaleSheetLayoutView="86" workbookViewId="0">
      <selection activeCell="T53" sqref="T53"/>
    </sheetView>
  </sheetViews>
  <sheetFormatPr defaultRowHeight="12.75" x14ac:dyDescent="0.2"/>
  <cols>
    <col min="1" max="1" width="55.5703125" style="6" customWidth="1"/>
    <col min="2" max="2" width="26.140625" style="20" customWidth="1"/>
    <col min="3" max="3" width="20.42578125" style="20" customWidth="1"/>
    <col min="4" max="4" width="9.28515625" style="7" customWidth="1"/>
    <col min="5" max="5" width="13.7109375" style="7" customWidth="1"/>
    <col min="6" max="7" width="9.28515625" style="7" customWidth="1"/>
    <col min="8" max="8" width="60.7109375" style="43" customWidth="1"/>
    <col min="9" max="9" width="25.42578125" style="20" customWidth="1"/>
    <col min="10" max="10" width="23.5703125" style="20" customWidth="1"/>
    <col min="11" max="11" width="9.28515625" style="7" customWidth="1"/>
    <col min="12" max="12" width="10" style="7" customWidth="1"/>
    <col min="13" max="13" width="13.42578125" style="7" customWidth="1"/>
    <col min="14" max="14" width="48.5703125" style="20" customWidth="1"/>
    <col min="15" max="15" width="26.85546875" style="20" customWidth="1"/>
    <col min="16" max="16" width="17.28515625" style="20" customWidth="1"/>
    <col min="17" max="18" width="9.28515625" style="7" customWidth="1"/>
    <col min="19" max="19" width="11.5703125" bestFit="1" customWidth="1"/>
    <col min="20" max="20" width="11.5703125" style="94" bestFit="1" customWidth="1"/>
  </cols>
  <sheetData>
    <row r="1" spans="1:22" s="1" customFormat="1" ht="16.5" customHeight="1" x14ac:dyDescent="0.25">
      <c r="A1" s="33" t="s">
        <v>19</v>
      </c>
      <c r="B1" s="33"/>
      <c r="C1" s="33"/>
      <c r="D1" s="16" t="s">
        <v>70</v>
      </c>
      <c r="E1" s="3"/>
      <c r="F1" s="3"/>
      <c r="G1" s="3"/>
      <c r="H1" s="42"/>
      <c r="I1" s="33"/>
      <c r="J1" s="33"/>
      <c r="K1" s="3"/>
      <c r="L1" s="3"/>
      <c r="M1" s="3"/>
      <c r="N1" s="32"/>
      <c r="O1" s="32"/>
      <c r="P1" s="32"/>
      <c r="Q1" s="3"/>
      <c r="R1" s="3"/>
      <c r="T1" s="89"/>
    </row>
    <row r="2" spans="1:22" s="1" customFormat="1" ht="16.5" customHeight="1" x14ac:dyDescent="0.25">
      <c r="A2" s="33" t="s">
        <v>18</v>
      </c>
      <c r="B2" s="33"/>
      <c r="C2" s="33"/>
      <c r="D2" s="4" t="s">
        <v>71</v>
      </c>
      <c r="E2" s="4"/>
      <c r="F2" s="4"/>
      <c r="G2" s="4"/>
      <c r="H2" s="42"/>
      <c r="I2" s="33"/>
      <c r="J2" s="33"/>
      <c r="K2" s="4"/>
      <c r="L2" s="4"/>
      <c r="M2" s="4"/>
      <c r="N2" s="32"/>
      <c r="O2" s="32"/>
      <c r="P2" s="32"/>
      <c r="Q2" s="4"/>
      <c r="R2" s="4"/>
      <c r="T2" s="89"/>
    </row>
    <row r="3" spans="1:22" s="1" customFormat="1" ht="16.5" customHeight="1" x14ac:dyDescent="0.25">
      <c r="A3" s="33" t="s">
        <v>17</v>
      </c>
      <c r="B3" s="33"/>
      <c r="C3" s="33"/>
      <c r="D3" s="4" t="s">
        <v>72</v>
      </c>
      <c r="E3" s="4"/>
      <c r="F3" s="4"/>
      <c r="G3" s="4"/>
      <c r="H3" s="42"/>
      <c r="I3" s="33"/>
      <c r="J3" s="33"/>
      <c r="K3" s="4"/>
      <c r="L3" s="4"/>
      <c r="M3" s="4"/>
      <c r="N3" s="32"/>
      <c r="O3" s="32"/>
      <c r="P3" s="32"/>
      <c r="Q3" s="4"/>
      <c r="R3" s="4"/>
      <c r="T3" s="89"/>
    </row>
    <row r="4" spans="1:22" s="1" customFormat="1" ht="16.5" customHeight="1" x14ac:dyDescent="0.2">
      <c r="A4" s="33" t="s">
        <v>16</v>
      </c>
      <c r="B4" s="33"/>
      <c r="C4" s="33"/>
      <c r="D4" s="7"/>
      <c r="E4" s="7"/>
      <c r="F4" s="7"/>
      <c r="G4" s="7"/>
      <c r="H4" s="42"/>
      <c r="I4" s="33"/>
      <c r="J4" s="33"/>
      <c r="K4" s="7"/>
      <c r="L4" s="7"/>
      <c r="M4" s="7"/>
      <c r="N4" s="32"/>
      <c r="O4" s="32"/>
      <c r="P4" s="32"/>
      <c r="Q4" s="7"/>
      <c r="R4" s="7"/>
      <c r="T4" s="89"/>
    </row>
    <row r="5" spans="1:22" s="1" customFormat="1" x14ac:dyDescent="0.2">
      <c r="A5" s="5" t="s">
        <v>81</v>
      </c>
      <c r="B5" s="20"/>
      <c r="C5" s="20"/>
      <c r="D5" s="7"/>
      <c r="E5" s="7"/>
      <c r="F5" s="7"/>
      <c r="G5" s="7"/>
      <c r="H5" s="43"/>
      <c r="I5" s="20"/>
      <c r="J5" s="20"/>
      <c r="K5" s="7"/>
      <c r="L5" s="7"/>
      <c r="M5" s="7"/>
      <c r="N5" s="20"/>
      <c r="O5" s="20"/>
      <c r="P5" s="20"/>
      <c r="Q5" s="7"/>
      <c r="R5" s="7"/>
      <c r="T5" s="89"/>
    </row>
    <row r="6" spans="1:22" s="1" customFormat="1" ht="15.75" customHeight="1" x14ac:dyDescent="0.2">
      <c r="A6" s="97" t="s">
        <v>15</v>
      </c>
      <c r="B6" s="53" t="s">
        <v>14</v>
      </c>
      <c r="C6" s="54"/>
      <c r="D6" s="24"/>
      <c r="E6" s="17"/>
      <c r="F6" s="26"/>
      <c r="G6" s="26"/>
      <c r="H6" s="24"/>
      <c r="I6" s="24"/>
      <c r="J6" s="24"/>
      <c r="K6" s="17"/>
      <c r="L6" s="26"/>
      <c r="M6" s="26"/>
      <c r="N6" s="35"/>
      <c r="O6" s="35"/>
      <c r="P6" s="35"/>
      <c r="Q6" s="17"/>
      <c r="R6" s="26"/>
      <c r="S6" s="17"/>
      <c r="T6" s="26"/>
      <c r="U6" s="17"/>
      <c r="V6" s="17"/>
    </row>
    <row r="7" spans="1:22" s="8" customFormat="1" ht="71.25" customHeight="1" x14ac:dyDescent="0.2">
      <c r="A7" s="98"/>
      <c r="B7" s="99" t="s">
        <v>13</v>
      </c>
      <c r="C7" s="100" t="s">
        <v>51</v>
      </c>
      <c r="D7" s="28" t="s">
        <v>74</v>
      </c>
      <c r="E7" s="28" t="s">
        <v>75</v>
      </c>
      <c r="F7" s="29" t="s">
        <v>76</v>
      </c>
      <c r="G7" s="29" t="s">
        <v>77</v>
      </c>
      <c r="H7" s="68" t="s">
        <v>52</v>
      </c>
      <c r="I7" s="69" t="s">
        <v>13</v>
      </c>
      <c r="J7" s="102" t="s">
        <v>66</v>
      </c>
      <c r="K7" s="64" t="s">
        <v>75</v>
      </c>
      <c r="L7" s="64" t="s">
        <v>75</v>
      </c>
      <c r="M7" s="29" t="s">
        <v>86</v>
      </c>
      <c r="N7" s="96" t="s">
        <v>15</v>
      </c>
      <c r="O7" s="95" t="s">
        <v>13</v>
      </c>
      <c r="P7" s="95" t="s">
        <v>65</v>
      </c>
      <c r="Q7" s="27" t="s">
        <v>82</v>
      </c>
      <c r="R7" s="27" t="s">
        <v>83</v>
      </c>
      <c r="S7" s="84"/>
      <c r="T7" s="91"/>
    </row>
    <row r="8" spans="1:22" s="8" customFormat="1" ht="22.5" customHeight="1" x14ac:dyDescent="0.2">
      <c r="A8" s="98"/>
      <c r="B8" s="99"/>
      <c r="C8" s="101"/>
      <c r="D8" s="23" t="s">
        <v>78</v>
      </c>
      <c r="E8" s="23" t="s">
        <v>79</v>
      </c>
      <c r="F8" s="30" t="s">
        <v>80</v>
      </c>
      <c r="G8" s="30" t="s">
        <v>26</v>
      </c>
      <c r="H8" s="81"/>
      <c r="I8" s="81"/>
      <c r="J8" s="103"/>
      <c r="K8" s="41" t="s">
        <v>73</v>
      </c>
      <c r="L8" s="25" t="s">
        <v>78</v>
      </c>
      <c r="M8" s="25" t="s">
        <v>25</v>
      </c>
      <c r="N8" s="96"/>
      <c r="O8" s="95"/>
      <c r="P8" s="95"/>
      <c r="Q8" s="27" t="s">
        <v>84</v>
      </c>
      <c r="R8" s="27" t="s">
        <v>85</v>
      </c>
      <c r="T8" s="91"/>
    </row>
    <row r="9" spans="1:22" s="1" customFormat="1" ht="12.75" customHeight="1" x14ac:dyDescent="0.2">
      <c r="A9" s="46" t="s">
        <v>12</v>
      </c>
      <c r="B9" s="55"/>
      <c r="C9" s="47">
        <v>0</v>
      </c>
      <c r="D9" s="12">
        <f t="shared" ref="D9" si="0">SUM(D10:D13)</f>
        <v>0</v>
      </c>
      <c r="E9" s="12">
        <f t="shared" ref="E9:G9" si="1">SUM(E10:E13)</f>
        <v>0</v>
      </c>
      <c r="F9" s="12">
        <f t="shared" si="1"/>
        <v>0</v>
      </c>
      <c r="G9" s="12">
        <f t="shared" si="1"/>
        <v>0</v>
      </c>
      <c r="H9" s="70" t="s">
        <v>12</v>
      </c>
      <c r="I9" s="71"/>
      <c r="J9" s="47">
        <f>SUM(J10:J11)</f>
        <v>0</v>
      </c>
      <c r="K9" s="12">
        <f t="shared" ref="K9:M10" si="2">SUM(K10:K12)</f>
        <v>0</v>
      </c>
      <c r="L9" s="12">
        <f t="shared" si="2"/>
        <v>0</v>
      </c>
      <c r="M9" s="12">
        <f t="shared" si="2"/>
        <v>0</v>
      </c>
      <c r="N9" s="70" t="s">
        <v>12</v>
      </c>
      <c r="O9" s="71"/>
      <c r="P9" s="47">
        <f>SUM(P10:P13)</f>
        <v>0</v>
      </c>
      <c r="Q9" s="12">
        <f>SUM(Q10:Q12)</f>
        <v>0</v>
      </c>
      <c r="R9" s="12">
        <f t="shared" ref="R9" si="3">SUM(R10:R12)</f>
        <v>0</v>
      </c>
      <c r="T9" s="89"/>
    </row>
    <row r="10" spans="1:22" s="1" customFormat="1" ht="12.75" customHeight="1" x14ac:dyDescent="0.2">
      <c r="A10" s="45" t="s">
        <v>20</v>
      </c>
      <c r="B10" s="55" t="s">
        <v>45</v>
      </c>
      <c r="C10" s="44">
        <v>0</v>
      </c>
      <c r="D10" s="10">
        <f>$C$10*12*D39</f>
        <v>0</v>
      </c>
      <c r="E10" s="10">
        <f t="shared" ref="E10:G10" si="4">$C$10*12*E39</f>
        <v>0</v>
      </c>
      <c r="F10" s="10">
        <f t="shared" si="4"/>
        <v>0</v>
      </c>
      <c r="G10" s="10">
        <f t="shared" si="4"/>
        <v>0</v>
      </c>
      <c r="H10" s="72" t="s">
        <v>20</v>
      </c>
      <c r="I10" s="44" t="s">
        <v>53</v>
      </c>
      <c r="J10" s="44">
        <v>0</v>
      </c>
      <c r="K10" s="12">
        <f t="shared" si="2"/>
        <v>0</v>
      </c>
      <c r="L10" s="12">
        <f t="shared" si="2"/>
        <v>0</v>
      </c>
      <c r="M10" s="12">
        <f t="shared" si="2"/>
        <v>0</v>
      </c>
      <c r="N10" s="73" t="s">
        <v>20</v>
      </c>
      <c r="O10" s="44" t="s">
        <v>45</v>
      </c>
      <c r="P10" s="44">
        <v>0</v>
      </c>
      <c r="Q10" s="12">
        <f>SUM(Q11:Q13)</f>
        <v>0</v>
      </c>
      <c r="R10" s="12">
        <f t="shared" ref="R10" si="5">SUM(R11:R13)</f>
        <v>0</v>
      </c>
      <c r="T10" s="89"/>
    </row>
    <row r="11" spans="1:22" s="1" customFormat="1" ht="27.75" customHeight="1" x14ac:dyDescent="0.2">
      <c r="A11" s="45" t="s">
        <v>27</v>
      </c>
      <c r="B11" s="55" t="s">
        <v>46</v>
      </c>
      <c r="C11" s="44">
        <v>0</v>
      </c>
      <c r="D11" s="10">
        <f>$C$11*12*D39</f>
        <v>0</v>
      </c>
      <c r="E11" s="10">
        <f t="shared" ref="E11:G11" si="6">$C$11*12*E39</f>
        <v>0</v>
      </c>
      <c r="F11" s="10">
        <f t="shared" si="6"/>
        <v>0</v>
      </c>
      <c r="G11" s="10">
        <f t="shared" si="6"/>
        <v>0</v>
      </c>
      <c r="H11" s="73" t="s">
        <v>27</v>
      </c>
      <c r="I11" s="44" t="s">
        <v>54</v>
      </c>
      <c r="J11" s="44">
        <v>0</v>
      </c>
      <c r="K11" s="10">
        <f t="shared" ref="K11:M11" si="7">$J$11*12*K39</f>
        <v>0</v>
      </c>
      <c r="L11" s="10">
        <f t="shared" si="7"/>
        <v>0</v>
      </c>
      <c r="M11" s="10">
        <f t="shared" si="7"/>
        <v>0</v>
      </c>
      <c r="N11" s="73" t="s">
        <v>27</v>
      </c>
      <c r="O11" s="44" t="s">
        <v>46</v>
      </c>
      <c r="P11" s="44">
        <v>0</v>
      </c>
      <c r="Q11" s="10">
        <f>$J$11*12*Q39</f>
        <v>0</v>
      </c>
      <c r="R11" s="10">
        <f t="shared" ref="R11" si="8">$J$11*12*R39</f>
        <v>0</v>
      </c>
      <c r="T11" s="89"/>
    </row>
    <row r="12" spans="1:22" s="1" customFormat="1" x14ac:dyDescent="0.2">
      <c r="A12" s="45"/>
      <c r="B12" s="55"/>
      <c r="C12" s="44"/>
      <c r="D12" s="10"/>
      <c r="E12" s="10"/>
      <c r="F12" s="10"/>
      <c r="G12" s="10"/>
      <c r="H12" s="72"/>
      <c r="I12" s="44"/>
      <c r="J12" s="44"/>
      <c r="K12" s="10"/>
      <c r="L12" s="10"/>
      <c r="M12" s="10"/>
      <c r="N12" s="73"/>
      <c r="O12" s="44"/>
      <c r="P12" s="44"/>
      <c r="Q12" s="10"/>
      <c r="R12" s="10"/>
      <c r="T12" s="89"/>
    </row>
    <row r="13" spans="1:22" s="1" customFormat="1" x14ac:dyDescent="0.2">
      <c r="A13" s="45"/>
      <c r="B13" s="55"/>
      <c r="C13" s="44"/>
      <c r="D13" s="10"/>
      <c r="E13" s="10"/>
      <c r="F13" s="10"/>
      <c r="G13" s="10"/>
      <c r="H13" s="74"/>
      <c r="I13" s="74"/>
      <c r="J13" s="74"/>
      <c r="K13" s="10"/>
      <c r="L13" s="10"/>
      <c r="M13" s="10"/>
      <c r="N13" s="73"/>
      <c r="O13" s="44"/>
      <c r="P13" s="44"/>
      <c r="Q13" s="10"/>
      <c r="R13" s="10"/>
      <c r="T13" s="89"/>
    </row>
    <row r="14" spans="1:22" s="1" customFormat="1" ht="23.85" customHeight="1" x14ac:dyDescent="0.2">
      <c r="A14" s="46" t="s">
        <v>11</v>
      </c>
      <c r="B14" s="55"/>
      <c r="C14" s="47">
        <f>SUM(C15:C21)</f>
        <v>4.4300000000000006</v>
      </c>
      <c r="D14" s="9">
        <f>SUM(D15:D21)</f>
        <v>44324.80799999999</v>
      </c>
      <c r="E14" s="9">
        <f t="shared" ref="E14:G14" si="9">SUM(E15:E21)</f>
        <v>27276.396000000001</v>
      </c>
      <c r="F14" s="9">
        <f t="shared" si="9"/>
        <v>29875.920000000002</v>
      </c>
      <c r="G14" s="9">
        <f t="shared" si="9"/>
        <v>27005.279999999999</v>
      </c>
      <c r="H14" s="75" t="s">
        <v>11</v>
      </c>
      <c r="I14" s="71"/>
      <c r="J14" s="47">
        <f>SUM(J15:J21)</f>
        <v>4.58</v>
      </c>
      <c r="K14" s="9">
        <f>SUM(K15:K21)</f>
        <v>28777.056000000004</v>
      </c>
      <c r="L14" s="9">
        <f t="shared" ref="L14:M14" si="10">SUM(L15:L21)</f>
        <v>29738.856000000003</v>
      </c>
      <c r="M14" s="9">
        <f t="shared" si="10"/>
        <v>18724.871999999999</v>
      </c>
      <c r="N14" s="75" t="s">
        <v>11</v>
      </c>
      <c r="O14" s="71"/>
      <c r="P14" s="47">
        <f>SUM(P15:P21)</f>
        <v>4.4300000000000006</v>
      </c>
      <c r="Q14" s="9">
        <f>SUM(Q15:Q21)</f>
        <v>22040.135999999999</v>
      </c>
      <c r="R14" s="9">
        <f t="shared" ref="R14" si="11">SUM(R15:R21)</f>
        <v>23353.188000000002</v>
      </c>
      <c r="T14" s="89"/>
    </row>
    <row r="15" spans="1:22" s="1" customFormat="1" x14ac:dyDescent="0.2">
      <c r="A15" s="45" t="s">
        <v>28</v>
      </c>
      <c r="B15" s="55" t="s">
        <v>21</v>
      </c>
      <c r="C15" s="44">
        <v>0.41</v>
      </c>
      <c r="D15" s="10">
        <f>$C$15*12*D39</f>
        <v>4102.2959999999994</v>
      </c>
      <c r="E15" s="10">
        <f t="shared" ref="E15:G15" si="12">$C$15*12*E39</f>
        <v>2524.4520000000002</v>
      </c>
      <c r="F15" s="10">
        <f t="shared" si="12"/>
        <v>2765.04</v>
      </c>
      <c r="G15" s="10">
        <f t="shared" si="12"/>
        <v>2499.36</v>
      </c>
      <c r="H15" s="72" t="s">
        <v>55</v>
      </c>
      <c r="I15" s="44" t="s">
        <v>21</v>
      </c>
      <c r="J15" s="44">
        <v>0.49</v>
      </c>
      <c r="K15" s="10">
        <f>$J$15*12*K39</f>
        <v>3078.768</v>
      </c>
      <c r="L15" s="10">
        <f t="shared" ref="L15:M15" si="13">$J$15*12*L39</f>
        <v>3181.6680000000001</v>
      </c>
      <c r="M15" s="10">
        <f t="shared" si="13"/>
        <v>2003.3159999999998</v>
      </c>
      <c r="N15" s="72" t="s">
        <v>28</v>
      </c>
      <c r="O15" s="44" t="s">
        <v>21</v>
      </c>
      <c r="P15" s="44">
        <v>0.41</v>
      </c>
      <c r="Q15" s="10">
        <f>$P$15*12*Q39</f>
        <v>2039.8320000000001</v>
      </c>
      <c r="R15" s="10">
        <f t="shared" ref="R15" si="14">$P$15*12*R39</f>
        <v>2161.3560000000002</v>
      </c>
      <c r="T15" s="89"/>
    </row>
    <row r="16" spans="1:22" s="1" customFormat="1" x14ac:dyDescent="0.2">
      <c r="A16" s="45" t="s">
        <v>29</v>
      </c>
      <c r="B16" s="55" t="s">
        <v>10</v>
      </c>
      <c r="C16" s="44">
        <v>0.49</v>
      </c>
      <c r="D16" s="10">
        <f>$C$16*12*D39</f>
        <v>4902.7439999999997</v>
      </c>
      <c r="E16" s="10">
        <f t="shared" ref="E16:G16" si="15">$C$16*12*E39</f>
        <v>3017.0280000000002</v>
      </c>
      <c r="F16" s="10">
        <f t="shared" si="15"/>
        <v>3304.56</v>
      </c>
      <c r="G16" s="10">
        <f t="shared" si="15"/>
        <v>2987.04</v>
      </c>
      <c r="H16" s="72" t="s">
        <v>56</v>
      </c>
      <c r="I16" s="44" t="s">
        <v>10</v>
      </c>
      <c r="J16" s="44">
        <v>0.51</v>
      </c>
      <c r="K16" s="10">
        <f>$J$16*12*K39</f>
        <v>3204.4320000000002</v>
      </c>
      <c r="L16" s="10">
        <f t="shared" ref="L16:M16" si="16">$J$16*12*L39</f>
        <v>3311.5320000000002</v>
      </c>
      <c r="M16" s="10">
        <f t="shared" si="16"/>
        <v>2085.0839999999998</v>
      </c>
      <c r="N16" s="72" t="s">
        <v>29</v>
      </c>
      <c r="O16" s="44" t="s">
        <v>10</v>
      </c>
      <c r="P16" s="44">
        <v>0.49</v>
      </c>
      <c r="Q16" s="10">
        <f>$P$16*12*Q39</f>
        <v>2437.848</v>
      </c>
      <c r="R16" s="10">
        <f t="shared" ref="R16" si="17">$P$16*12*R39</f>
        <v>2583.0839999999998</v>
      </c>
      <c r="T16" s="89"/>
    </row>
    <row r="17" spans="1:20" s="1" customFormat="1" x14ac:dyDescent="0.2">
      <c r="A17" s="45" t="s">
        <v>30</v>
      </c>
      <c r="B17" s="55" t="s">
        <v>22</v>
      </c>
      <c r="C17" s="44">
        <v>0.37</v>
      </c>
      <c r="D17" s="10">
        <f>$C$17*12*D39</f>
        <v>3702.0719999999992</v>
      </c>
      <c r="E17" s="10">
        <f t="shared" ref="E17:G17" si="18">$C$17*12*E39</f>
        <v>2278.1639999999998</v>
      </c>
      <c r="F17" s="10">
        <f t="shared" si="18"/>
        <v>2495.2799999999997</v>
      </c>
      <c r="G17" s="10">
        <f t="shared" si="18"/>
        <v>2255.5199999999995</v>
      </c>
      <c r="H17" s="72" t="s">
        <v>30</v>
      </c>
      <c r="I17" s="44" t="s">
        <v>22</v>
      </c>
      <c r="J17" s="44">
        <v>0.39</v>
      </c>
      <c r="K17" s="10">
        <f>$J$17*12*K39</f>
        <v>2450.4479999999999</v>
      </c>
      <c r="L17" s="10">
        <f t="shared" ref="L17:M17" si="19">$J$17*12*L39</f>
        <v>2532.348</v>
      </c>
      <c r="M17" s="10">
        <f t="shared" si="19"/>
        <v>1594.4759999999999</v>
      </c>
      <c r="N17" s="72" t="s">
        <v>30</v>
      </c>
      <c r="O17" s="44" t="s">
        <v>22</v>
      </c>
      <c r="P17" s="44">
        <v>0.37</v>
      </c>
      <c r="Q17" s="10">
        <f>$P$17*12*Q39</f>
        <v>1840.8239999999998</v>
      </c>
      <c r="R17" s="10">
        <f t="shared" ref="R17" si="20">$P$17*12*R39</f>
        <v>1950.4919999999997</v>
      </c>
      <c r="T17" s="89"/>
    </row>
    <row r="18" spans="1:20" s="1" customFormat="1" ht="57.75" customHeight="1" x14ac:dyDescent="0.2">
      <c r="A18" s="48" t="s">
        <v>31</v>
      </c>
      <c r="B18" s="55" t="s">
        <v>9</v>
      </c>
      <c r="C18" s="44">
        <v>0.6</v>
      </c>
      <c r="D18" s="10">
        <f>$C$18*12*D39</f>
        <v>6003.3599999999988</v>
      </c>
      <c r="E18" s="10">
        <f t="shared" ref="E18:G18" si="21">$C$18*12*E39</f>
        <v>3694.3199999999997</v>
      </c>
      <c r="F18" s="10">
        <f t="shared" si="21"/>
        <v>4046.3999999999996</v>
      </c>
      <c r="G18" s="10">
        <f t="shared" si="21"/>
        <v>3657.5999999999995</v>
      </c>
      <c r="H18" s="76" t="s">
        <v>31</v>
      </c>
      <c r="I18" s="77" t="s">
        <v>9</v>
      </c>
      <c r="J18" s="44">
        <v>0.62</v>
      </c>
      <c r="K18" s="10">
        <f>$J$18*12*K39</f>
        <v>3895.5839999999998</v>
      </c>
      <c r="L18" s="10">
        <f t="shared" ref="L18:M18" si="22">$J$18*12*L39</f>
        <v>4025.7840000000001</v>
      </c>
      <c r="M18" s="10">
        <f t="shared" si="22"/>
        <v>2534.8079999999995</v>
      </c>
      <c r="N18" s="76" t="s">
        <v>31</v>
      </c>
      <c r="O18" s="77" t="s">
        <v>9</v>
      </c>
      <c r="P18" s="44">
        <v>0.6</v>
      </c>
      <c r="Q18" s="10">
        <f>$P$18*12*Q39</f>
        <v>2985.12</v>
      </c>
      <c r="R18" s="10">
        <f t="shared" ref="R18" si="23">$P$18*12*R39</f>
        <v>3162.9599999999996</v>
      </c>
      <c r="T18" s="89"/>
    </row>
    <row r="19" spans="1:20" s="1" customFormat="1" ht="38.25" customHeight="1" x14ac:dyDescent="0.2">
      <c r="A19" s="45" t="s">
        <v>32</v>
      </c>
      <c r="B19" s="55" t="s">
        <v>46</v>
      </c>
      <c r="C19" s="44">
        <v>7.0000000000000007E-2</v>
      </c>
      <c r="D19" s="10">
        <f>$C$19*12*D39</f>
        <v>700.39200000000005</v>
      </c>
      <c r="E19" s="10">
        <f t="shared" ref="E19:G19" si="24">$C$19*12*E39</f>
        <v>431.00400000000008</v>
      </c>
      <c r="F19" s="10">
        <f t="shared" si="24"/>
        <v>472.08000000000004</v>
      </c>
      <c r="G19" s="10">
        <f t="shared" si="24"/>
        <v>426.72</v>
      </c>
      <c r="H19" s="73" t="s">
        <v>32</v>
      </c>
      <c r="I19" s="44" t="s">
        <v>57</v>
      </c>
      <c r="J19" s="44">
        <v>0.08</v>
      </c>
      <c r="K19" s="10">
        <f>$J$19*12*K39</f>
        <v>502.65600000000001</v>
      </c>
      <c r="L19" s="10">
        <f t="shared" ref="L19:M19" si="25">$J$19*12*L39</f>
        <v>519.45600000000002</v>
      </c>
      <c r="M19" s="10">
        <f t="shared" si="25"/>
        <v>327.072</v>
      </c>
      <c r="N19" s="73" t="s">
        <v>32</v>
      </c>
      <c r="O19" s="44" t="s">
        <v>46</v>
      </c>
      <c r="P19" s="44">
        <v>7.0000000000000007E-2</v>
      </c>
      <c r="Q19" s="10">
        <f>$P$19*12*Q39</f>
        <v>348.26400000000007</v>
      </c>
      <c r="R19" s="10">
        <f t="shared" ref="R19" si="26">$P$19*12*R39</f>
        <v>369.01200000000006</v>
      </c>
      <c r="T19" s="89"/>
    </row>
    <row r="20" spans="1:20" s="1" customFormat="1" x14ac:dyDescent="0.2">
      <c r="A20" s="45" t="s">
        <v>33</v>
      </c>
      <c r="B20" s="55" t="s">
        <v>47</v>
      </c>
      <c r="C20" s="44">
        <v>2.4900000000000002</v>
      </c>
      <c r="D20" s="10">
        <f>$C$20*12*D39</f>
        <v>24913.944</v>
      </c>
      <c r="E20" s="10">
        <f t="shared" ref="E20:G20" si="27">$C$20*12*E39</f>
        <v>15331.428000000002</v>
      </c>
      <c r="F20" s="10">
        <f t="shared" si="27"/>
        <v>16792.560000000001</v>
      </c>
      <c r="G20" s="10">
        <f t="shared" si="27"/>
        <v>15179.04</v>
      </c>
      <c r="H20" s="72" t="s">
        <v>33</v>
      </c>
      <c r="I20" s="78" t="s">
        <v>58</v>
      </c>
      <c r="J20" s="44">
        <v>2.4900000000000002</v>
      </c>
      <c r="K20" s="10">
        <f>$J$20*12*K39</f>
        <v>15645.168000000001</v>
      </c>
      <c r="L20" s="10">
        <f t="shared" ref="L20:M20" si="28">$J$20*12*L39</f>
        <v>16168.068000000003</v>
      </c>
      <c r="M20" s="10">
        <f t="shared" si="28"/>
        <v>10180.116</v>
      </c>
      <c r="N20" s="72" t="s">
        <v>33</v>
      </c>
      <c r="O20" s="78" t="s">
        <v>47</v>
      </c>
      <c r="P20" s="44">
        <v>2.4900000000000002</v>
      </c>
      <c r="Q20" s="10">
        <f>$P$20*12*Q39</f>
        <v>12388.248000000001</v>
      </c>
      <c r="R20" s="10">
        <f t="shared" ref="R20" si="29">$P$20*12*R39</f>
        <v>13126.284000000001</v>
      </c>
      <c r="T20" s="89"/>
    </row>
    <row r="21" spans="1:20" s="37" customFormat="1" ht="12.75" customHeight="1" x14ac:dyDescent="0.2">
      <c r="A21" s="56"/>
      <c r="B21" s="57"/>
      <c r="C21" s="58"/>
      <c r="D21" s="36"/>
      <c r="E21" s="36"/>
      <c r="F21" s="36"/>
      <c r="G21" s="36"/>
      <c r="H21" s="72"/>
      <c r="I21" s="44"/>
      <c r="J21" s="44"/>
      <c r="K21" s="36"/>
      <c r="L21" s="36"/>
      <c r="M21" s="36"/>
      <c r="N21" s="72"/>
      <c r="O21" s="44"/>
      <c r="P21" s="44"/>
      <c r="Q21" s="36"/>
      <c r="R21" s="36"/>
      <c r="T21" s="92"/>
    </row>
    <row r="22" spans="1:20" s="37" customFormat="1" ht="12.75" customHeight="1" x14ac:dyDescent="0.2">
      <c r="A22" s="82"/>
      <c r="B22" s="57"/>
      <c r="C22" s="58"/>
      <c r="D22" s="36"/>
      <c r="E22" s="36"/>
      <c r="F22" s="36"/>
      <c r="G22" s="36"/>
      <c r="H22" s="83"/>
      <c r="I22" s="44"/>
      <c r="J22" s="44"/>
      <c r="K22" s="36"/>
      <c r="L22" s="36"/>
      <c r="M22" s="36"/>
      <c r="N22" s="83"/>
      <c r="O22" s="44"/>
      <c r="P22" s="44"/>
      <c r="Q22" s="36"/>
      <c r="R22" s="36"/>
      <c r="T22" s="92"/>
    </row>
    <row r="23" spans="1:20" s="37" customFormat="1" ht="12.75" customHeight="1" x14ac:dyDescent="0.2">
      <c r="A23" s="82"/>
      <c r="B23" s="57"/>
      <c r="C23" s="58"/>
      <c r="D23" s="36"/>
      <c r="E23" s="36"/>
      <c r="F23" s="36"/>
      <c r="G23" s="36"/>
      <c r="H23" s="83"/>
      <c r="I23" s="44"/>
      <c r="J23" s="44"/>
      <c r="K23" s="36"/>
      <c r="L23" s="36"/>
      <c r="M23" s="36"/>
      <c r="N23" s="83"/>
      <c r="O23" s="44"/>
      <c r="P23" s="44"/>
      <c r="Q23" s="36"/>
      <c r="R23" s="36"/>
      <c r="T23" s="92"/>
    </row>
    <row r="24" spans="1:20" s="1" customFormat="1" ht="27" customHeight="1" x14ac:dyDescent="0.2">
      <c r="A24" s="46" t="s">
        <v>8</v>
      </c>
      <c r="B24" s="55"/>
      <c r="C24" s="49">
        <f>SUM(C25:C27)</f>
        <v>2.1399999999999997</v>
      </c>
      <c r="D24" s="11">
        <f>SUM(D25:D27)</f>
        <v>21411.983999999997</v>
      </c>
      <c r="E24" s="11">
        <f t="shared" ref="E24:G24" si="30">SUM(E25:E27)</f>
        <v>13176.407999999999</v>
      </c>
      <c r="F24" s="11">
        <f t="shared" si="30"/>
        <v>14432.159999999998</v>
      </c>
      <c r="G24" s="11">
        <f t="shared" si="30"/>
        <v>13045.439999999999</v>
      </c>
      <c r="H24" s="75" t="s">
        <v>8</v>
      </c>
      <c r="I24" s="71"/>
      <c r="J24" s="49">
        <f>SUM(J25:J27)</f>
        <v>4.93</v>
      </c>
      <c r="K24" s="11">
        <f>SUM(K25:K27)</f>
        <v>30976.176000000003</v>
      </c>
      <c r="L24" s="11">
        <f t="shared" ref="L24:M24" si="31">SUM(L25:L27)</f>
        <v>32011.476000000002</v>
      </c>
      <c r="M24" s="11">
        <f t="shared" si="31"/>
        <v>20155.811999999998</v>
      </c>
      <c r="N24" s="75" t="s">
        <v>8</v>
      </c>
      <c r="O24" s="71"/>
      <c r="P24" s="49">
        <f>SUM(P25:P27)</f>
        <v>2.1399999999999997</v>
      </c>
      <c r="Q24" s="11">
        <f>SUM(Q25:Q27)</f>
        <v>10646.928</v>
      </c>
      <c r="R24" s="11">
        <f t="shared" ref="R24" si="32">SUM(R25:R27)</f>
        <v>11281.223999999998</v>
      </c>
      <c r="T24" s="89"/>
    </row>
    <row r="25" spans="1:20" s="1" customFormat="1" ht="36" customHeight="1" x14ac:dyDescent="0.2">
      <c r="A25" s="45" t="s">
        <v>34</v>
      </c>
      <c r="B25" s="55" t="s">
        <v>3</v>
      </c>
      <c r="C25" s="44">
        <v>1.1299999999999999</v>
      </c>
      <c r="D25" s="10">
        <f>$C$25*12*D39</f>
        <v>11306.327999999998</v>
      </c>
      <c r="E25" s="10">
        <f t="shared" ref="E25:G25" si="33">$C$25*12*E39</f>
        <v>6957.6359999999995</v>
      </c>
      <c r="F25" s="10">
        <f t="shared" si="33"/>
        <v>7620.7199999999993</v>
      </c>
      <c r="G25" s="10">
        <f t="shared" si="33"/>
        <v>6888.48</v>
      </c>
      <c r="H25" s="73" t="s">
        <v>34</v>
      </c>
      <c r="I25" s="44" t="s">
        <v>3</v>
      </c>
      <c r="J25" s="44">
        <v>1.1100000000000001</v>
      </c>
      <c r="K25" s="10">
        <f>$J$25*12*K39</f>
        <v>6974.3520000000008</v>
      </c>
      <c r="L25" s="10">
        <f t="shared" ref="L25:M25" si="34">$J$25*12*L39</f>
        <v>7207.4520000000002</v>
      </c>
      <c r="M25" s="10">
        <f t="shared" si="34"/>
        <v>4538.1239999999998</v>
      </c>
      <c r="N25" s="73" t="s">
        <v>34</v>
      </c>
      <c r="O25" s="44" t="s">
        <v>3</v>
      </c>
      <c r="P25" s="44">
        <v>1.1299999999999999</v>
      </c>
      <c r="Q25" s="10">
        <f>$P$25*12*Q39</f>
        <v>5621.9759999999997</v>
      </c>
      <c r="R25" s="10">
        <f t="shared" ref="R25" si="35">$P$25*12*R39</f>
        <v>5956.9079999999994</v>
      </c>
      <c r="T25" s="89"/>
    </row>
    <row r="26" spans="1:20" s="1" customFormat="1" ht="71.25" customHeight="1" x14ac:dyDescent="0.2">
      <c r="A26" s="45" t="s">
        <v>35</v>
      </c>
      <c r="B26" s="55" t="s">
        <v>7</v>
      </c>
      <c r="C26" s="44">
        <v>0.16</v>
      </c>
      <c r="D26" s="10">
        <f>$C$26*12*D39</f>
        <v>1600.896</v>
      </c>
      <c r="E26" s="10">
        <f t="shared" ref="E26:G26" si="36">$C$26*12*E39</f>
        <v>985.15200000000004</v>
      </c>
      <c r="F26" s="10">
        <f t="shared" si="36"/>
        <v>1079.04</v>
      </c>
      <c r="G26" s="10">
        <f t="shared" si="36"/>
        <v>975.36</v>
      </c>
      <c r="H26" s="73" t="s">
        <v>35</v>
      </c>
      <c r="I26" s="77" t="s">
        <v>7</v>
      </c>
      <c r="J26" s="44">
        <v>0.13</v>
      </c>
      <c r="K26" s="10">
        <f>$J$26*12*K39</f>
        <v>816.81600000000003</v>
      </c>
      <c r="L26" s="10">
        <f t="shared" ref="L26:M26" si="37">$J$26*12*L39</f>
        <v>844.1160000000001</v>
      </c>
      <c r="M26" s="10">
        <f t="shared" si="37"/>
        <v>531.49199999999996</v>
      </c>
      <c r="N26" s="73" t="s">
        <v>35</v>
      </c>
      <c r="O26" s="77" t="s">
        <v>7</v>
      </c>
      <c r="P26" s="44">
        <v>0.16</v>
      </c>
      <c r="Q26" s="10">
        <f>$P$26*12*Q39</f>
        <v>796.03200000000004</v>
      </c>
      <c r="R26" s="10">
        <f t="shared" ref="R26" si="38">$P$26*12*R39</f>
        <v>843.45600000000002</v>
      </c>
      <c r="T26" s="89"/>
    </row>
    <row r="27" spans="1:20" s="1" customFormat="1" ht="112.5" customHeight="1" x14ac:dyDescent="0.2">
      <c r="A27" s="45" t="s">
        <v>36</v>
      </c>
      <c r="B27" s="55" t="s">
        <v>6</v>
      </c>
      <c r="C27" s="44">
        <v>0.85</v>
      </c>
      <c r="D27" s="10">
        <f>$C$27*12*D39</f>
        <v>8504.7599999999984</v>
      </c>
      <c r="E27" s="10">
        <f t="shared" ref="E27:G27" si="39">$C$27*12*E39</f>
        <v>5233.62</v>
      </c>
      <c r="F27" s="10">
        <f t="shared" si="39"/>
        <v>5732.4</v>
      </c>
      <c r="G27" s="10">
        <f t="shared" si="39"/>
        <v>5181.5999999999995</v>
      </c>
      <c r="H27" s="73" t="s">
        <v>59</v>
      </c>
      <c r="I27" s="44" t="s">
        <v>6</v>
      </c>
      <c r="J27" s="44">
        <v>3.69</v>
      </c>
      <c r="K27" s="10">
        <f>$J$27*12*K39</f>
        <v>23185.008000000002</v>
      </c>
      <c r="L27" s="10">
        <f t="shared" ref="L27:M27" si="40">$J$27*12*L39</f>
        <v>23959.908000000003</v>
      </c>
      <c r="M27" s="10">
        <f t="shared" si="40"/>
        <v>15086.196</v>
      </c>
      <c r="N27" s="73" t="s">
        <v>36</v>
      </c>
      <c r="O27" s="44" t="s">
        <v>6</v>
      </c>
      <c r="P27" s="44">
        <v>0.85</v>
      </c>
      <c r="Q27" s="10">
        <f>$P$27*12*Q39</f>
        <v>4228.92</v>
      </c>
      <c r="R27" s="10">
        <f t="shared" ref="R27" si="41">$P$27*12*R39</f>
        <v>4480.8599999999997</v>
      </c>
      <c r="T27" s="89"/>
    </row>
    <row r="28" spans="1:20" s="1" customFormat="1" ht="24.75" customHeight="1" x14ac:dyDescent="0.2">
      <c r="A28" s="46" t="s">
        <v>5</v>
      </c>
      <c r="B28" s="55"/>
      <c r="C28" s="49">
        <f>SUM(C29:C33)</f>
        <v>10.93</v>
      </c>
      <c r="D28" s="31">
        <f>SUM(D29:D33)</f>
        <v>109361.20799999998</v>
      </c>
      <c r="E28" s="31">
        <f t="shared" ref="E28:G28" si="42">SUM(E29:E33)</f>
        <v>67298.195999999996</v>
      </c>
      <c r="F28" s="31">
        <f t="shared" si="42"/>
        <v>73711.92</v>
      </c>
      <c r="G28" s="31">
        <f t="shared" si="42"/>
        <v>66629.279999999984</v>
      </c>
      <c r="H28" s="70" t="s">
        <v>5</v>
      </c>
      <c r="I28" s="71"/>
      <c r="J28" s="49">
        <f>SUM(J29:J33)</f>
        <v>6.4999999999999991</v>
      </c>
      <c r="K28" s="31">
        <f>SUM(K29:K33)</f>
        <v>40840.799999999996</v>
      </c>
      <c r="L28" s="31">
        <f t="shared" ref="L28:M28" si="43">SUM(L29:L33)</f>
        <v>42205.799999999996</v>
      </c>
      <c r="M28" s="31">
        <f t="shared" si="43"/>
        <v>26574.599999999995</v>
      </c>
      <c r="N28" s="70" t="s">
        <v>5</v>
      </c>
      <c r="O28" s="71"/>
      <c r="P28" s="49">
        <f>SUM(P29:P33)</f>
        <v>7.24</v>
      </c>
      <c r="Q28" s="31">
        <f>SUM(Q29:Q33)</f>
        <v>36020.447999999997</v>
      </c>
      <c r="R28" s="31">
        <f t="shared" ref="R28" si="44">SUM(R29:R33)</f>
        <v>38166.383999999991</v>
      </c>
      <c r="T28" s="89"/>
    </row>
    <row r="29" spans="1:20" s="39" customFormat="1" ht="105" customHeight="1" x14ac:dyDescent="0.2">
      <c r="A29" s="45" t="s">
        <v>37</v>
      </c>
      <c r="B29" s="55" t="s">
        <v>23</v>
      </c>
      <c r="C29" s="59">
        <v>6.6</v>
      </c>
      <c r="D29" s="38">
        <f>$C$29*12*D39</f>
        <v>66036.959999999992</v>
      </c>
      <c r="E29" s="38">
        <f t="shared" ref="E29:G29" si="45">$C$29*12*E39</f>
        <v>40637.519999999997</v>
      </c>
      <c r="F29" s="38">
        <f t="shared" si="45"/>
        <v>44510.399999999994</v>
      </c>
      <c r="G29" s="38">
        <f t="shared" si="45"/>
        <v>40233.599999999991</v>
      </c>
      <c r="H29" s="73" t="s">
        <v>60</v>
      </c>
      <c r="I29" s="77" t="s">
        <v>61</v>
      </c>
      <c r="J29" s="44">
        <f>2.52</f>
        <v>2.52</v>
      </c>
      <c r="K29" s="38">
        <f>$J$29*12*K39</f>
        <v>15833.664000000002</v>
      </c>
      <c r="L29" s="38">
        <f t="shared" ref="L29:M29" si="46">$J$29*12*L39</f>
        <v>16362.864000000001</v>
      </c>
      <c r="M29" s="38">
        <f t="shared" si="46"/>
        <v>10302.768</v>
      </c>
      <c r="N29" s="73" t="s">
        <v>37</v>
      </c>
      <c r="O29" s="77" t="s">
        <v>23</v>
      </c>
      <c r="P29" s="44">
        <v>4.5999999999999996</v>
      </c>
      <c r="Q29" s="38">
        <f>$P$29*12*Q39</f>
        <v>22885.919999999998</v>
      </c>
      <c r="R29" s="38">
        <f t="shared" ref="R29" si="47">$P$29*12*R39</f>
        <v>24249.359999999997</v>
      </c>
      <c r="T29" s="93"/>
    </row>
    <row r="30" spans="1:20" s="1" customFormat="1" ht="63.75" customHeight="1" x14ac:dyDescent="0.2">
      <c r="A30" s="45" t="s">
        <v>38</v>
      </c>
      <c r="B30" s="55" t="s">
        <v>4</v>
      </c>
      <c r="C30" s="44">
        <v>1.37</v>
      </c>
      <c r="D30" s="38">
        <f>$C$30*12*D39</f>
        <v>13707.672</v>
      </c>
      <c r="E30" s="38">
        <f t="shared" ref="E30:G30" si="48">$C$30*12*E39</f>
        <v>8435.3640000000014</v>
      </c>
      <c r="F30" s="38">
        <f t="shared" si="48"/>
        <v>9239.2800000000007</v>
      </c>
      <c r="G30" s="38">
        <f t="shared" si="48"/>
        <v>8351.52</v>
      </c>
      <c r="H30" s="72" t="s">
        <v>38</v>
      </c>
      <c r="I30" s="77" t="s">
        <v>62</v>
      </c>
      <c r="J30" s="44">
        <v>1.34</v>
      </c>
      <c r="K30" s="38">
        <f>$J$30*12*K39</f>
        <v>8419.4880000000012</v>
      </c>
      <c r="L30" s="38">
        <f t="shared" ref="L30:M30" si="49">$J$30*12*L39</f>
        <v>8700.8880000000008</v>
      </c>
      <c r="M30" s="38">
        <f t="shared" si="49"/>
        <v>5478.4560000000001</v>
      </c>
      <c r="N30" s="72" t="s">
        <v>38</v>
      </c>
      <c r="O30" s="77" t="s">
        <v>4</v>
      </c>
      <c r="P30" s="44">
        <v>1.37</v>
      </c>
      <c r="Q30" s="38">
        <f>$P$30*12*Q39</f>
        <v>6816.0240000000013</v>
      </c>
      <c r="R30" s="38">
        <f t="shared" ref="R30" si="50">$P$30*12*R39</f>
        <v>7222.0920000000006</v>
      </c>
      <c r="T30" s="89"/>
    </row>
    <row r="31" spans="1:20" s="1" customFormat="1" ht="40.5" customHeight="1" x14ac:dyDescent="0.2">
      <c r="A31" s="45" t="s">
        <v>39</v>
      </c>
      <c r="B31" s="55" t="s">
        <v>24</v>
      </c>
      <c r="C31" s="44">
        <v>1.69</v>
      </c>
      <c r="D31" s="38">
        <f>$C$31*12*D39</f>
        <v>16909.464</v>
      </c>
      <c r="E31" s="38">
        <f t="shared" ref="E31:G31" si="51">$C$31*12*E39</f>
        <v>10405.668000000001</v>
      </c>
      <c r="F31" s="38">
        <f t="shared" si="51"/>
        <v>11397.36</v>
      </c>
      <c r="G31" s="38">
        <f t="shared" si="51"/>
        <v>10302.24</v>
      </c>
      <c r="H31" s="72" t="s">
        <v>39</v>
      </c>
      <c r="I31" s="78" t="s">
        <v>24</v>
      </c>
      <c r="J31" s="44">
        <v>1.23</v>
      </c>
      <c r="K31" s="38">
        <f>$J$31*12*K39</f>
        <v>7728.3360000000002</v>
      </c>
      <c r="L31" s="38">
        <f t="shared" ref="L31:M31" si="52">$J$31*12*L39</f>
        <v>7986.6360000000004</v>
      </c>
      <c r="M31" s="38">
        <f t="shared" si="52"/>
        <v>5028.732</v>
      </c>
      <c r="N31" s="72" t="s">
        <v>39</v>
      </c>
      <c r="O31" s="78" t="s">
        <v>24</v>
      </c>
      <c r="P31" s="44">
        <v>0</v>
      </c>
      <c r="Q31" s="38">
        <f>$P$31*12*Q39</f>
        <v>0</v>
      </c>
      <c r="R31" s="38">
        <f t="shared" ref="R31" si="53">$P$31*12*R39</f>
        <v>0</v>
      </c>
      <c r="T31" s="89"/>
    </row>
    <row r="32" spans="1:20" s="1" customFormat="1" ht="33" customHeight="1" x14ac:dyDescent="0.2">
      <c r="A32" s="45" t="s">
        <v>40</v>
      </c>
      <c r="B32" s="55" t="s">
        <v>3</v>
      </c>
      <c r="C32" s="44">
        <v>0.94</v>
      </c>
      <c r="D32" s="38">
        <f>$C$32*12*D39</f>
        <v>9405.2639999999992</v>
      </c>
      <c r="E32" s="38">
        <f t="shared" ref="E32:G32" si="54">$C$32*12*E39</f>
        <v>5787.768</v>
      </c>
      <c r="F32" s="38">
        <f t="shared" si="54"/>
        <v>6339.36</v>
      </c>
      <c r="G32" s="38">
        <f t="shared" si="54"/>
        <v>5730.24</v>
      </c>
      <c r="H32" s="72" t="s">
        <v>40</v>
      </c>
      <c r="I32" s="44" t="s">
        <v>3</v>
      </c>
      <c r="J32" s="44">
        <v>1.02</v>
      </c>
      <c r="K32" s="38">
        <f>$J$32*12*K39</f>
        <v>6408.8640000000005</v>
      </c>
      <c r="L32" s="38">
        <f t="shared" ref="L32:M32" si="55">$J$32*12*L39</f>
        <v>6623.0640000000003</v>
      </c>
      <c r="M32" s="38">
        <f t="shared" si="55"/>
        <v>4170.1679999999997</v>
      </c>
      <c r="N32" s="72" t="s">
        <v>40</v>
      </c>
      <c r="O32" s="44" t="s">
        <v>3</v>
      </c>
      <c r="P32" s="44">
        <v>0.94</v>
      </c>
      <c r="Q32" s="38">
        <f>$P$32*12*Q39</f>
        <v>4676.6880000000001</v>
      </c>
      <c r="R32" s="38">
        <f t="shared" ref="R32" si="56">$P$32*12*R39</f>
        <v>4955.3040000000001</v>
      </c>
      <c r="T32" s="89"/>
    </row>
    <row r="33" spans="1:20" s="1" customFormat="1" x14ac:dyDescent="0.2">
      <c r="A33" s="45" t="s">
        <v>41</v>
      </c>
      <c r="B33" s="55" t="s">
        <v>6</v>
      </c>
      <c r="C33" s="44">
        <v>0.33</v>
      </c>
      <c r="D33" s="38">
        <f>$C$33*12*D39</f>
        <v>3301.848</v>
      </c>
      <c r="E33" s="38">
        <f t="shared" ref="E33:G33" si="57">$C$33*12*E39</f>
        <v>2031.876</v>
      </c>
      <c r="F33" s="38">
        <f t="shared" si="57"/>
        <v>2225.52</v>
      </c>
      <c r="G33" s="38">
        <f t="shared" si="57"/>
        <v>2011.68</v>
      </c>
      <c r="H33" s="72" t="s">
        <v>41</v>
      </c>
      <c r="I33" s="44" t="s">
        <v>6</v>
      </c>
      <c r="J33" s="44">
        <v>0.39</v>
      </c>
      <c r="K33" s="38">
        <f>$J$33*12*K39</f>
        <v>2450.4479999999999</v>
      </c>
      <c r="L33" s="38">
        <f t="shared" ref="L33:M33" si="58">$J$33*12*L39</f>
        <v>2532.348</v>
      </c>
      <c r="M33" s="38">
        <f t="shared" si="58"/>
        <v>1594.4759999999999</v>
      </c>
      <c r="N33" s="72" t="s">
        <v>41</v>
      </c>
      <c r="O33" s="44" t="s">
        <v>6</v>
      </c>
      <c r="P33" s="44">
        <v>0.33</v>
      </c>
      <c r="Q33" s="38">
        <f>$P$33*12*Q39</f>
        <v>1641.816</v>
      </c>
      <c r="R33" s="38">
        <f t="shared" ref="R33" si="59">$P$33*12*R39</f>
        <v>1739.6279999999999</v>
      </c>
      <c r="T33" s="89"/>
    </row>
    <row r="34" spans="1:20" s="39" customFormat="1" ht="94.5" customHeight="1" x14ac:dyDescent="0.2">
      <c r="A34" s="60" t="s">
        <v>42</v>
      </c>
      <c r="B34" s="55" t="s">
        <v>48</v>
      </c>
      <c r="C34" s="63" t="s">
        <v>68</v>
      </c>
      <c r="D34" s="40">
        <v>7500</v>
      </c>
      <c r="E34" s="40">
        <v>7500</v>
      </c>
      <c r="F34" s="40">
        <v>7500</v>
      </c>
      <c r="G34" s="40">
        <v>7500</v>
      </c>
      <c r="H34" s="79" t="s">
        <v>42</v>
      </c>
      <c r="I34" s="44" t="s">
        <v>48</v>
      </c>
      <c r="J34" s="63" t="s">
        <v>68</v>
      </c>
      <c r="K34" s="40">
        <v>7500</v>
      </c>
      <c r="L34" s="40">
        <v>7500</v>
      </c>
      <c r="M34" s="40">
        <v>7500</v>
      </c>
      <c r="N34" s="79" t="s">
        <v>42</v>
      </c>
      <c r="O34" s="44" t="s">
        <v>48</v>
      </c>
      <c r="P34" s="63" t="s">
        <v>69</v>
      </c>
      <c r="Q34" s="40">
        <v>2500</v>
      </c>
      <c r="R34" s="40">
        <v>2500</v>
      </c>
      <c r="T34" s="93"/>
    </row>
    <row r="35" spans="1:20" s="1" customFormat="1" x14ac:dyDescent="0.2">
      <c r="A35" s="60" t="s">
        <v>43</v>
      </c>
      <c r="B35" s="55" t="s">
        <v>49</v>
      </c>
      <c r="C35" s="49">
        <v>2.78</v>
      </c>
      <c r="D35" s="21">
        <f>$C$35*12*D39</f>
        <v>27815.567999999999</v>
      </c>
      <c r="E35" s="21">
        <f t="shared" ref="E35:G35" si="60">$C$35*12*E39</f>
        <v>17117.016</v>
      </c>
      <c r="F35" s="21">
        <f t="shared" si="60"/>
        <v>18748.32</v>
      </c>
      <c r="G35" s="21">
        <f t="shared" si="60"/>
        <v>16946.88</v>
      </c>
      <c r="H35" s="79" t="s">
        <v>43</v>
      </c>
      <c r="I35" s="44" t="s">
        <v>49</v>
      </c>
      <c r="J35" s="49">
        <v>2.52</v>
      </c>
      <c r="K35" s="21">
        <f>$J$35*12*K39</f>
        <v>15833.664000000002</v>
      </c>
      <c r="L35" s="21">
        <f t="shared" ref="L35:M35" si="61">$J$35*12*L39</f>
        <v>16362.864000000001</v>
      </c>
      <c r="M35" s="21">
        <f t="shared" si="61"/>
        <v>10302.768</v>
      </c>
      <c r="N35" s="79" t="s">
        <v>43</v>
      </c>
      <c r="O35" s="44" t="s">
        <v>49</v>
      </c>
      <c r="P35" s="49">
        <v>2.48</v>
      </c>
      <c r="Q35" s="21">
        <f>$P$35*12*Q39</f>
        <v>12338.495999999999</v>
      </c>
      <c r="R35" s="21">
        <f t="shared" ref="R35" si="62">$P$35*12*R39</f>
        <v>13073.567999999999</v>
      </c>
      <c r="S35" s="37"/>
      <c r="T35" s="92"/>
    </row>
    <row r="36" spans="1:20" s="1" customFormat="1" x14ac:dyDescent="0.2">
      <c r="A36" s="60" t="s">
        <v>44</v>
      </c>
      <c r="B36" s="55" t="s">
        <v>49</v>
      </c>
      <c r="C36" s="49">
        <v>0.65</v>
      </c>
      <c r="D36" s="21">
        <v>0</v>
      </c>
      <c r="E36" s="21">
        <v>0</v>
      </c>
      <c r="F36" s="21">
        <f t="shared" ref="F36:G36" si="63">$C$36*12*F39</f>
        <v>4383.6000000000004</v>
      </c>
      <c r="G36" s="21">
        <f t="shared" si="63"/>
        <v>3962.4000000000005</v>
      </c>
      <c r="H36" s="79" t="s">
        <v>63</v>
      </c>
      <c r="I36" s="44" t="s">
        <v>49</v>
      </c>
      <c r="J36" s="49">
        <v>0.65</v>
      </c>
      <c r="K36" s="66">
        <f>J36*12*K39</f>
        <v>4084.0800000000004</v>
      </c>
      <c r="L36" s="66">
        <v>0</v>
      </c>
      <c r="M36" s="66">
        <f>J36*M39*12</f>
        <v>2657.46</v>
      </c>
      <c r="N36" s="79" t="s">
        <v>44</v>
      </c>
      <c r="O36" s="44" t="s">
        <v>49</v>
      </c>
      <c r="P36" s="49">
        <v>0.65</v>
      </c>
      <c r="Q36" s="66">
        <f>Q39*P36*12</f>
        <v>3233.88</v>
      </c>
      <c r="R36" s="66">
        <f>R39*P36*12</f>
        <v>3426.54</v>
      </c>
      <c r="S36" s="37"/>
      <c r="T36" s="92"/>
    </row>
    <row r="37" spans="1:20" s="66" customFormat="1" ht="12" x14ac:dyDescent="0.2">
      <c r="A37" s="60" t="s">
        <v>67</v>
      </c>
      <c r="B37" s="63" t="s">
        <v>49</v>
      </c>
      <c r="C37" s="49"/>
      <c r="D37" s="65">
        <f>1.5*12*D39</f>
        <v>15008.4</v>
      </c>
      <c r="E37" s="65">
        <f>E39*12*1.74</f>
        <v>10713.528000000002</v>
      </c>
      <c r="F37" s="65">
        <f>F39*12*2.35</f>
        <v>15848.400000000001</v>
      </c>
      <c r="G37" s="65">
        <f>12*G39*2.3</f>
        <v>14020.8</v>
      </c>
      <c r="H37" s="79" t="s">
        <v>67</v>
      </c>
      <c r="I37" s="86" t="s">
        <v>49</v>
      </c>
      <c r="J37" s="49"/>
      <c r="K37" s="67">
        <f>K39*12*2.6</f>
        <v>16336.320000000003</v>
      </c>
      <c r="L37" s="67">
        <f>L39*12*1.77</f>
        <v>11492.964000000002</v>
      </c>
      <c r="M37" s="67">
        <f>M39*12*2.36</f>
        <v>9648.623999999998</v>
      </c>
      <c r="N37" s="79" t="s">
        <v>67</v>
      </c>
      <c r="O37" s="86" t="s">
        <v>49</v>
      </c>
      <c r="P37" s="49"/>
      <c r="Q37" s="66">
        <f>Q39*12*2.9</f>
        <v>14428.080000000002</v>
      </c>
      <c r="R37" s="87">
        <f>2.72*R39*12</f>
        <v>14338.752000000002</v>
      </c>
      <c r="S37" s="104"/>
      <c r="T37" s="104"/>
    </row>
    <row r="38" spans="1:20" s="15" customFormat="1" x14ac:dyDescent="0.2">
      <c r="A38" s="52" t="s">
        <v>2</v>
      </c>
      <c r="B38" s="61"/>
      <c r="C38" s="50"/>
      <c r="D38" s="13">
        <f>D35+D34+D28+D24+D14+D9+D36+D37</f>
        <v>225421.96799999996</v>
      </c>
      <c r="E38" s="13">
        <f>E35+E34+E28+E24+E14+E9+E36+E37</f>
        <v>143081.54399999999</v>
      </c>
      <c r="F38" s="13">
        <f t="shared" ref="F38:G38" si="64">F35+F34+F28+F24+F14+F9+F36+F37</f>
        <v>164500.32</v>
      </c>
      <c r="G38" s="13">
        <f t="shared" si="64"/>
        <v>149110.07999999999</v>
      </c>
      <c r="H38" s="80" t="s">
        <v>2</v>
      </c>
      <c r="I38" s="50"/>
      <c r="J38" s="50"/>
      <c r="K38" s="13">
        <f>K35+K34+K28+K24+K14+K10+K36+K37</f>
        <v>144348.09599999999</v>
      </c>
      <c r="L38" s="13">
        <f t="shared" ref="L38:M38" si="65">L35+L34+L28+L24+L14+L10+L36+L37</f>
        <v>139311.96</v>
      </c>
      <c r="M38" s="13">
        <f t="shared" si="65"/>
        <v>95564.135999999999</v>
      </c>
      <c r="N38" s="80" t="s">
        <v>2</v>
      </c>
      <c r="O38" s="50"/>
      <c r="P38" s="50"/>
      <c r="Q38" s="13">
        <f>Q35+Q34+Q28+Q24+Q14+Q10+Q36+Q37</f>
        <v>101207.96800000001</v>
      </c>
      <c r="R38" s="13">
        <f t="shared" ref="R38" si="66">R35+R34+R28+R24+R14+R10+R36+R37</f>
        <v>106139.656</v>
      </c>
      <c r="S38" s="105">
        <f>R38+Q38+M38+L38+K38+G38+F38+E38+D38</f>
        <v>1268685.7279999999</v>
      </c>
      <c r="T38" s="106">
        <f>S38/12*5/100</f>
        <v>5286.1905333333325</v>
      </c>
    </row>
    <row r="39" spans="1:20" s="2" customFormat="1" ht="25.5" customHeight="1" x14ac:dyDescent="0.2">
      <c r="A39" s="52" t="s">
        <v>1</v>
      </c>
      <c r="B39" s="61"/>
      <c r="C39" s="51"/>
      <c r="D39" s="88">
        <v>833.8</v>
      </c>
      <c r="E39" s="88">
        <v>513.1</v>
      </c>
      <c r="F39" s="88">
        <v>562</v>
      </c>
      <c r="G39" s="88">
        <v>508</v>
      </c>
      <c r="H39" s="80" t="s">
        <v>1</v>
      </c>
      <c r="I39" s="50"/>
      <c r="J39" s="51"/>
      <c r="K39" s="34">
        <v>523.6</v>
      </c>
      <c r="L39" s="34">
        <v>541.1</v>
      </c>
      <c r="M39" s="34">
        <v>340.7</v>
      </c>
      <c r="N39" s="80" t="s">
        <v>1</v>
      </c>
      <c r="O39" s="50"/>
      <c r="P39" s="51"/>
      <c r="Q39" s="85">
        <v>414.6</v>
      </c>
      <c r="R39" s="85">
        <v>439.3</v>
      </c>
      <c r="S39" s="107">
        <f>R39+Q39+M39+L39+K39+G39+F39+E39+D39</f>
        <v>4676.2</v>
      </c>
      <c r="T39" s="107">
        <f>S39*70*80/100</f>
        <v>261867.2</v>
      </c>
    </row>
    <row r="40" spans="1:20" s="2" customFormat="1" ht="25.5" customHeight="1" x14ac:dyDescent="0.2">
      <c r="A40" s="52" t="s">
        <v>50</v>
      </c>
      <c r="B40" s="62"/>
      <c r="C40" s="51"/>
      <c r="D40" s="14">
        <f>D38 /12/D39</f>
        <v>22.529580235068359</v>
      </c>
      <c r="E40" s="14">
        <f t="shared" ref="E40:G40" si="67">E38 /12/E39</f>
        <v>23.238086143052033</v>
      </c>
      <c r="F40" s="14">
        <f t="shared" si="67"/>
        <v>24.392099644128116</v>
      </c>
      <c r="G40" s="14">
        <f t="shared" si="67"/>
        <v>24.460314960629919</v>
      </c>
      <c r="H40" s="52" t="s">
        <v>64</v>
      </c>
      <c r="I40" s="51"/>
      <c r="J40" s="51"/>
      <c r="K40" s="14">
        <f t="shared" ref="K40:L40" si="68">K38/12/K39</f>
        <v>22.973659281894573</v>
      </c>
      <c r="L40" s="14">
        <f t="shared" si="68"/>
        <v>21.455054518573277</v>
      </c>
      <c r="M40" s="14">
        <f t="shared" ref="M40" si="69">M38/12/M39</f>
        <v>23.37445846786029</v>
      </c>
      <c r="N40" s="52" t="s">
        <v>64</v>
      </c>
      <c r="O40" s="51"/>
      <c r="P40" s="51"/>
      <c r="Q40" s="14">
        <f t="shared" ref="Q40" si="70">Q38/12/Q39</f>
        <v>20.342492362116097</v>
      </c>
      <c r="R40" s="14">
        <f t="shared" ref="R40" si="71">R38 /12/R39</f>
        <v>20.134239320130508</v>
      </c>
      <c r="S40" s="107"/>
      <c r="T40" s="107"/>
    </row>
    <row r="41" spans="1:20" s="2" customFormat="1" ht="15.75" customHeight="1" x14ac:dyDescent="0.2">
      <c r="A41" s="18"/>
      <c r="B41" s="22"/>
      <c r="C41" s="22"/>
      <c r="D41" s="19"/>
      <c r="E41" s="7"/>
      <c r="F41" s="7"/>
      <c r="G41" s="7"/>
      <c r="H41" s="22"/>
      <c r="I41" s="22"/>
      <c r="J41" s="22"/>
      <c r="K41" s="7"/>
      <c r="L41" s="7"/>
      <c r="M41" s="7"/>
      <c r="N41" s="22"/>
      <c r="O41" s="22"/>
      <c r="P41" s="22"/>
      <c r="Q41" s="7"/>
      <c r="R41" s="7"/>
      <c r="T41" s="90"/>
    </row>
    <row r="42" spans="1:20" s="2" customFormat="1" ht="25.5" customHeight="1" x14ac:dyDescent="0.2">
      <c r="A42" s="18"/>
      <c r="B42" s="22"/>
      <c r="C42" s="22"/>
      <c r="D42" s="19"/>
      <c r="E42" s="7"/>
      <c r="F42" s="7"/>
      <c r="G42" s="7"/>
      <c r="H42" s="22"/>
      <c r="I42" s="22"/>
      <c r="J42" s="22"/>
      <c r="K42" s="7"/>
      <c r="L42" s="7"/>
      <c r="M42" s="7"/>
      <c r="N42" s="22"/>
      <c r="O42" s="22"/>
      <c r="P42" s="22"/>
      <c r="Q42" s="7"/>
      <c r="R42" s="7"/>
      <c r="T42" s="90"/>
    </row>
    <row r="43" spans="1:20" s="1" customFormat="1" ht="12.75" customHeight="1" x14ac:dyDescent="0.2">
      <c r="A43" s="6"/>
      <c r="B43" s="20"/>
      <c r="C43" s="20"/>
      <c r="D43" s="7"/>
      <c r="E43" s="7"/>
      <c r="F43" s="7"/>
      <c r="G43" s="7"/>
      <c r="H43" s="43"/>
      <c r="I43" s="20"/>
      <c r="J43" s="20"/>
      <c r="K43" s="7"/>
      <c r="L43" s="7"/>
      <c r="M43" s="7"/>
      <c r="N43" s="20"/>
      <c r="O43" s="20"/>
      <c r="P43" s="20"/>
      <c r="Q43" s="7"/>
      <c r="R43" s="7"/>
      <c r="T43" s="89"/>
    </row>
    <row r="44" spans="1:20" s="1" customFormat="1" ht="12.75" hidden="1" customHeight="1" x14ac:dyDescent="0.2">
      <c r="A44" s="6"/>
      <c r="B44" s="20"/>
      <c r="C44" s="20"/>
      <c r="D44" s="7"/>
      <c r="E44" s="7"/>
      <c r="F44" s="7"/>
      <c r="G44" s="7"/>
      <c r="H44" s="43"/>
      <c r="I44" s="20"/>
      <c r="J44" s="20"/>
      <c r="K44" s="7"/>
      <c r="L44" s="7"/>
      <c r="M44" s="7"/>
      <c r="N44" s="20"/>
      <c r="O44" s="20"/>
      <c r="P44" s="20"/>
      <c r="Q44" s="7"/>
      <c r="R44" s="7"/>
      <c r="T44" s="89"/>
    </row>
    <row r="45" spans="1:20" s="1" customFormat="1" x14ac:dyDescent="0.2">
      <c r="A45" s="6"/>
      <c r="B45" s="20"/>
      <c r="C45" s="20"/>
      <c r="D45" s="7"/>
      <c r="E45" s="7"/>
      <c r="F45" s="7"/>
      <c r="G45" s="7"/>
      <c r="H45" s="43"/>
      <c r="I45" s="20"/>
      <c r="J45" s="20"/>
      <c r="K45" s="7"/>
      <c r="L45" s="7"/>
      <c r="M45" s="7"/>
      <c r="N45" s="20"/>
      <c r="O45" s="20"/>
      <c r="P45" s="20"/>
      <c r="Q45" s="7"/>
      <c r="R45" s="7"/>
      <c r="T45" s="89"/>
    </row>
    <row r="46" spans="1:20" s="1" customFormat="1" x14ac:dyDescent="0.2">
      <c r="A46" s="6"/>
      <c r="B46" s="20"/>
      <c r="C46" s="20"/>
      <c r="D46" s="7"/>
      <c r="E46" s="7"/>
      <c r="F46" s="7"/>
      <c r="G46" s="7"/>
      <c r="H46" s="43"/>
      <c r="I46" s="20"/>
      <c r="J46" s="20"/>
      <c r="K46" s="7"/>
      <c r="L46" s="7"/>
      <c r="M46" s="7"/>
      <c r="N46" s="20"/>
      <c r="O46" s="20"/>
      <c r="P46" s="20"/>
      <c r="Q46" s="7"/>
      <c r="R46" s="7"/>
      <c r="T46" s="89"/>
    </row>
    <row r="47" spans="1:20" s="1" customFormat="1" x14ac:dyDescent="0.2">
      <c r="A47" s="6" t="s">
        <v>0</v>
      </c>
      <c r="B47" s="20"/>
      <c r="C47" s="20"/>
      <c r="D47" s="7"/>
      <c r="E47" s="7"/>
      <c r="F47" s="7"/>
      <c r="G47" s="7"/>
      <c r="H47" s="43"/>
      <c r="I47" s="20"/>
      <c r="J47" s="20"/>
      <c r="K47" s="7"/>
      <c r="L47" s="7"/>
      <c r="M47" s="7"/>
      <c r="N47" s="20"/>
      <c r="O47" s="20"/>
      <c r="P47" s="20"/>
      <c r="Q47" s="7"/>
      <c r="R47" s="7"/>
      <c r="T47" s="89"/>
    </row>
    <row r="48" spans="1:20" s="1" customFormat="1" x14ac:dyDescent="0.2">
      <c r="A48" s="6"/>
      <c r="B48" s="20"/>
      <c r="C48" s="20"/>
      <c r="D48" s="7"/>
      <c r="E48" s="7"/>
      <c r="F48" s="7"/>
      <c r="G48" s="7"/>
      <c r="H48" s="43"/>
      <c r="I48" s="20"/>
      <c r="J48" s="20"/>
      <c r="K48" s="7"/>
      <c r="L48" s="7"/>
      <c r="M48" s="7"/>
      <c r="N48" s="20"/>
      <c r="O48" s="20"/>
      <c r="P48" s="20"/>
      <c r="Q48" s="7"/>
      <c r="R48" s="7"/>
      <c r="T48" s="89"/>
    </row>
  </sheetData>
  <mergeCells count="7">
    <mergeCell ref="P7:P8"/>
    <mergeCell ref="N7:N8"/>
    <mergeCell ref="A6:A8"/>
    <mergeCell ref="B7:B8"/>
    <mergeCell ref="C7:C8"/>
    <mergeCell ref="J7:J8"/>
    <mergeCell ref="O7:O8"/>
  </mergeCells>
  <pageMargins left="0.23622047244094491" right="0.11811023622047245" top="0.23622047244094491" bottom="0.19685039370078741" header="0.31496062992125984" footer="0.31496062992125984"/>
  <pageSetup paperSize="9" scale="47" firstPageNumber="0" orientation="landscape" r:id="rId1"/>
  <headerFooter alignWithMargins="0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лот1</vt:lpstr>
      <vt:lpstr>Лист1</vt:lpstr>
      <vt:lpstr>лот1!Заголовки_для_печати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2017-03-20T12:32:08Z</dcterms:modified>
</cp:coreProperties>
</file>